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375" activeTab="0"/>
  </bookViews>
  <sheets>
    <sheet name="A" sheetId="1" r:id="rId1"/>
  </sheets>
  <definedNames>
    <definedName name="_xlnm.Print_Area" localSheetId="0">'A'!$A$1:$J$51</definedName>
  </definedNames>
  <calcPr fullCalcOnLoad="1"/>
</workbook>
</file>

<file path=xl/sharedStrings.xml><?xml version="1.0" encoding="utf-8"?>
<sst xmlns="http://schemas.openxmlformats.org/spreadsheetml/2006/main" count="149" uniqueCount="71">
  <si>
    <t>PNEUMATIC CONVEYING (dilute phase)</t>
  </si>
  <si>
    <t>Solids mass flow rate:</t>
  </si>
  <si>
    <t>kg/h</t>
  </si>
  <si>
    <t>Mean particle size:</t>
  </si>
  <si>
    <t>micron</t>
  </si>
  <si>
    <t>Density of gas:</t>
  </si>
  <si>
    <t>kg/m^3</t>
  </si>
  <si>
    <t>Density of solids:</t>
  </si>
  <si>
    <t>Vertical distance:</t>
  </si>
  <si>
    <t>m</t>
  </si>
  <si>
    <t>Horizontal distance:</t>
  </si>
  <si>
    <t>Number of 90' bends:</t>
  </si>
  <si>
    <t>Gas viscosity:</t>
  </si>
  <si>
    <t>Pa.s</t>
  </si>
  <si>
    <t>********************************************</t>
  </si>
  <si>
    <t>kg/s</t>
  </si>
  <si>
    <t>*********</t>
  </si>
  <si>
    <t>**</t>
  </si>
  <si>
    <t>HORIZONTALLY</t>
  </si>
  <si>
    <t xml:space="preserve">   VERTICALLY</t>
  </si>
  <si>
    <t>* BENDS *</t>
  </si>
  <si>
    <t>TOTAL</t>
  </si>
  <si>
    <t>Pipe</t>
  </si>
  <si>
    <t>Saltation</t>
  </si>
  <si>
    <t>Superf'l</t>
  </si>
  <si>
    <t>Solid</t>
  </si>
  <si>
    <t>Solids</t>
  </si>
  <si>
    <t>Porosity</t>
  </si>
  <si>
    <t>Interst'l</t>
  </si>
  <si>
    <t>Slip</t>
  </si>
  <si>
    <t>Particle</t>
  </si>
  <si>
    <t>Drag</t>
  </si>
  <si>
    <t>Flow</t>
  </si>
  <si>
    <t>Gas</t>
  </si>
  <si>
    <t>Pressure</t>
  </si>
  <si>
    <t>Total</t>
  </si>
  <si>
    <t>Friction</t>
  </si>
  <si>
    <t>PRESSURE</t>
  </si>
  <si>
    <t>diameter</t>
  </si>
  <si>
    <t>velocity</t>
  </si>
  <si>
    <t>gas vel.</t>
  </si>
  <si>
    <t>flux</t>
  </si>
  <si>
    <t>Re</t>
  </si>
  <si>
    <t>coeff't</t>
  </si>
  <si>
    <t>Reynolds</t>
  </si>
  <si>
    <t>friction</t>
  </si>
  <si>
    <t>loss by</t>
  </si>
  <si>
    <t>static</t>
  </si>
  <si>
    <t>losses</t>
  </si>
  <si>
    <t>pressure</t>
  </si>
  <si>
    <t>drop in</t>
  </si>
  <si>
    <t>DROP</t>
  </si>
  <si>
    <t>number</t>
  </si>
  <si>
    <t>factor</t>
  </si>
  <si>
    <t>gas ac'n</t>
  </si>
  <si>
    <t>sol ac'n</t>
  </si>
  <si>
    <t>gas fr'n</t>
  </si>
  <si>
    <t>sol fr'n</t>
  </si>
  <si>
    <t>drop</t>
  </si>
  <si>
    <t>head</t>
  </si>
  <si>
    <t>bends</t>
  </si>
  <si>
    <t>(mm)</t>
  </si>
  <si>
    <t>(m/s)</t>
  </si>
  <si>
    <t>(kg/m^2s)</t>
  </si>
  <si>
    <t>(-)</t>
  </si>
  <si>
    <t>(Pa)</t>
  </si>
  <si>
    <t>(bar)</t>
  </si>
  <si>
    <t>pneumatic conveying.xls</t>
  </si>
  <si>
    <t>Gas flow</t>
  </si>
  <si>
    <t>rate</t>
  </si>
  <si>
    <t>(m3/s)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</si>
</sst>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</numFmts>
  <fonts count="31"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A1" sqref="A1"/>
    </sheetView>
  </sheetViews>
  <sheetFormatPr defaultColWidth="10.00390625" defaultRowHeight="15.75"/>
  <cols>
    <col min="1" max="7" width="10.00390625" style="0" customWidth="1"/>
    <col min="8" max="8" width="3.875" style="0" customWidth="1"/>
    <col min="9" max="9" width="11.625" style="0" customWidth="1"/>
    <col min="10" max="10" width="12.375" style="0" customWidth="1"/>
    <col min="11" max="11" width="10.00390625" style="0" customWidth="1"/>
    <col min="12" max="12" width="2.75390625" style="0" customWidth="1"/>
  </cols>
  <sheetData>
    <row r="1" spans="1:5" ht="15.75">
      <c r="A1" t="s">
        <v>67</v>
      </c>
      <c r="E1" t="s">
        <v>0</v>
      </c>
    </row>
    <row r="2" spans="1:5" ht="15.75">
      <c r="A2" t="s">
        <v>1</v>
      </c>
      <c r="D2" s="5">
        <v>800</v>
      </c>
      <c r="E2" t="s">
        <v>2</v>
      </c>
    </row>
    <row r="3" spans="1:5" ht="15.75">
      <c r="A3" t="s">
        <v>3</v>
      </c>
      <c r="D3" s="5">
        <v>80</v>
      </c>
      <c r="E3" t="s">
        <v>4</v>
      </c>
    </row>
    <row r="4" spans="1:5" ht="15.75">
      <c r="A4" t="s">
        <v>5</v>
      </c>
      <c r="D4" s="5">
        <v>1.2</v>
      </c>
      <c r="E4" t="s">
        <v>6</v>
      </c>
    </row>
    <row r="5" spans="1:5" ht="15.75">
      <c r="A5" t="s">
        <v>7</v>
      </c>
      <c r="D5" s="5">
        <v>2500</v>
      </c>
      <c r="E5" t="s">
        <v>6</v>
      </c>
    </row>
    <row r="6" spans="1:5" ht="15.75">
      <c r="A6" t="s">
        <v>8</v>
      </c>
      <c r="D6" s="5">
        <v>30</v>
      </c>
      <c r="E6" t="s">
        <v>9</v>
      </c>
    </row>
    <row r="7" spans="1:5" ht="15.75">
      <c r="A7" t="s">
        <v>10</v>
      </c>
      <c r="D7" s="5">
        <v>15</v>
      </c>
      <c r="E7" t="s">
        <v>9</v>
      </c>
    </row>
    <row r="8" spans="1:4" ht="15.75">
      <c r="A8" t="s">
        <v>11</v>
      </c>
      <c r="D8" s="5">
        <v>8</v>
      </c>
    </row>
    <row r="9" spans="1:5" ht="15.75">
      <c r="A9" t="s">
        <v>12</v>
      </c>
      <c r="D9" s="5">
        <v>1.84E-05</v>
      </c>
      <c r="E9" t="s">
        <v>13</v>
      </c>
    </row>
    <row r="10" ht="15.75">
      <c r="A10" t="s">
        <v>14</v>
      </c>
    </row>
    <row r="11" spans="1:5" ht="15.75">
      <c r="A11" t="s">
        <v>1</v>
      </c>
      <c r="D11">
        <f>D2/3600</f>
        <v>0.2222222222222222</v>
      </c>
      <c r="E11" t="s">
        <v>15</v>
      </c>
    </row>
    <row r="12" spans="1:5" ht="15.75">
      <c r="A12" t="s">
        <v>3</v>
      </c>
      <c r="D12">
        <f>D3*0.000001</f>
        <v>7.999999999999999E-05</v>
      </c>
      <c r="E12" t="s">
        <v>9</v>
      </c>
    </row>
    <row r="13" spans="1:5" ht="15.75">
      <c r="A13" t="s">
        <v>16</v>
      </c>
      <c r="B13" t="s">
        <v>16</v>
      </c>
      <c r="C13" t="s">
        <v>16</v>
      </c>
      <c r="D13" t="s">
        <v>16</v>
      </c>
      <c r="E13" t="s">
        <v>16</v>
      </c>
    </row>
    <row r="15" spans="1:6" ht="15.75">
      <c r="A15" t="s">
        <v>22</v>
      </c>
      <c r="B15" t="s">
        <v>23</v>
      </c>
      <c r="C15" t="s">
        <v>24</v>
      </c>
      <c r="D15" t="s">
        <v>25</v>
      </c>
      <c r="E15" t="s">
        <v>26</v>
      </c>
      <c r="F15" t="s">
        <v>27</v>
      </c>
    </row>
    <row r="16" spans="1:5" ht="15.75">
      <c r="A16" t="s">
        <v>38</v>
      </c>
      <c r="B16" t="s">
        <v>39</v>
      </c>
      <c r="C16" t="s">
        <v>40</v>
      </c>
      <c r="D16" t="s">
        <v>39</v>
      </c>
      <c r="E16" t="s">
        <v>41</v>
      </c>
    </row>
    <row r="18" spans="1:6" ht="15.75">
      <c r="A18" t="s">
        <v>61</v>
      </c>
      <c r="B18" t="s">
        <v>62</v>
      </c>
      <c r="C18" t="s">
        <v>62</v>
      </c>
      <c r="D18" t="s">
        <v>62</v>
      </c>
      <c r="E18" t="s">
        <v>63</v>
      </c>
      <c r="F18" t="s">
        <v>64</v>
      </c>
    </row>
    <row r="19" spans="1:6" ht="15.75">
      <c r="A19" s="5">
        <v>78</v>
      </c>
      <c r="B19" s="1">
        <f>((4*D$11*10^(1440*D$12+1.96)*9.81^((1100*D$12+2.5)/2)*(A19*0.001)^((1100*D$12+2.5)/2-2))/(D$4*PI()))^(1/(1100*D$12+3.5))</f>
        <v>9.530806942085013</v>
      </c>
      <c r="C19" s="1">
        <f>1.5*B19</f>
        <v>14.296210413127518</v>
      </c>
      <c r="D19" s="1">
        <f>(1-0.0638*D$12^0.3*D$5^0.5)*C19</f>
        <v>11.605056041811471</v>
      </c>
      <c r="E19" s="1">
        <f>4*D$11*1000000/(PI()*A19^2)</f>
        <v>46.50593705658422</v>
      </c>
      <c r="F19" s="2">
        <f>1-E19/(D$5*D19)</f>
        <v>0.998397045670817</v>
      </c>
    </row>
    <row r="20" spans="1:6" ht="15.75">
      <c r="A20" s="5">
        <v>63</v>
      </c>
      <c r="B20" s="1">
        <f>((4*D$11*10^(1440*D$12+1.96)*9.81^((1100*D$12+2.5)/2)*(A20*0.001)^((1100*D$12+2.5)/2-2))/(D$4*PI()))^(1/(1100*D$12+3.5))</f>
        <v>9.939867823980759</v>
      </c>
      <c r="C20" s="1">
        <f>1.5*B20</f>
        <v>14.909801735971138</v>
      </c>
      <c r="D20" s="1">
        <f>(1-0.0638*D$12^0.3*D$5^0.5)*C20</f>
        <v>12.103143400810524</v>
      </c>
      <c r="E20" s="1">
        <f>4*D$11*1000000/(PI()*A20^2)</f>
        <v>71.28801235884565</v>
      </c>
      <c r="F20" s="2">
        <f>1-E20/(D$5*D20)</f>
        <v>0.9976439835504528</v>
      </c>
    </row>
    <row r="21" spans="1:6" ht="15.75">
      <c r="A21" s="5">
        <v>50</v>
      </c>
      <c r="B21" s="1">
        <f>((4*D$11*10^(1440*D$12+1.96)*9.81^((1100*D$12+2.5)/2)*(A21*0.001)^((1100*D$12+2.5)/2-2))/(D$4*PI()))^(1/(1100*D$12+3.5))</f>
        <v>10.40232026274009</v>
      </c>
      <c r="C21" s="1">
        <f>1.5*B21</f>
        <v>15.603480394110136</v>
      </c>
      <c r="D21" s="1">
        <f>(1-0.0638*D$12^0.3*D$5^0.5)*C21</f>
        <v>12.66624225498796</v>
      </c>
      <c r="E21" s="1">
        <f>4*D$11*1000000/(PI()*A21^2)</f>
        <v>113.17684842090335</v>
      </c>
      <c r="F21" s="2">
        <f>1-E21/(D$5*D21)</f>
        <v>0.9964258745050819</v>
      </c>
    </row>
    <row r="22" spans="1:6" ht="15.75">
      <c r="A22" s="5">
        <v>40</v>
      </c>
      <c r="B22" s="1">
        <f>((4*D$11*10^(1440*D$12+1.96)*9.81^((1100*D$12+2.5)/2)*(A22*0.001)^((1100*D$12+2.5)/2-2))/(D$4*PI()))^(1/(1100*D$12+3.5))</f>
        <v>10.869233362972432</v>
      </c>
      <c r="C22" s="1">
        <f>1.5*B22</f>
        <v>16.30385004445865</v>
      </c>
      <c r="D22" s="1">
        <f>(1-0.0638*D$12^0.3*D$5^0.5)*C22</f>
        <v>13.234772572282047</v>
      </c>
      <c r="E22" s="1">
        <f>4*D$11*1000000/(PI()*A22^2)</f>
        <v>176.8388256576615</v>
      </c>
      <c r="F22" s="2">
        <f>1-E22/(D$5*D22)</f>
        <v>0.9946553271031489</v>
      </c>
    </row>
    <row r="23" spans="2:8" ht="15.75">
      <c r="B23" s="1"/>
      <c r="C23" s="1"/>
      <c r="D23" s="1"/>
      <c r="E23" s="1"/>
      <c r="F23" s="2"/>
      <c r="G23" s="1"/>
      <c r="H23" s="1"/>
    </row>
    <row r="24" spans="1:8" ht="15.75">
      <c r="A24" t="s">
        <v>22</v>
      </c>
      <c r="B24" t="s">
        <v>28</v>
      </c>
      <c r="C24" t="s">
        <v>29</v>
      </c>
      <c r="D24" t="s">
        <v>30</v>
      </c>
      <c r="E24" t="s">
        <v>31</v>
      </c>
      <c r="F24" t="s">
        <v>32</v>
      </c>
      <c r="G24" t="s">
        <v>33</v>
      </c>
      <c r="H24" s="1"/>
    </row>
    <row r="25" spans="1:8" ht="15.75">
      <c r="A25" t="s">
        <v>38</v>
      </c>
      <c r="B25" t="s">
        <v>33</v>
      </c>
      <c r="C25" t="s">
        <v>39</v>
      </c>
      <c r="D25" t="s">
        <v>42</v>
      </c>
      <c r="E25" t="s">
        <v>43</v>
      </c>
      <c r="F25" t="s">
        <v>44</v>
      </c>
      <c r="G25" t="s">
        <v>45</v>
      </c>
      <c r="H25" s="1"/>
    </row>
    <row r="26" spans="2:8" ht="15.75">
      <c r="B26" t="s">
        <v>39</v>
      </c>
      <c r="D26" t="s">
        <v>52</v>
      </c>
      <c r="F26" t="s">
        <v>52</v>
      </c>
      <c r="G26" t="s">
        <v>53</v>
      </c>
      <c r="H26" s="1"/>
    </row>
    <row r="27" spans="1:8" ht="15.75">
      <c r="A27" t="s">
        <v>61</v>
      </c>
      <c r="B27" t="s">
        <v>62</v>
      </c>
      <c r="C27" t="s">
        <v>62</v>
      </c>
      <c r="D27" t="s">
        <v>64</v>
      </c>
      <c r="F27" t="s">
        <v>64</v>
      </c>
      <c r="G27" t="s">
        <v>64</v>
      </c>
      <c r="H27" s="1"/>
    </row>
    <row r="28" spans="1:8" ht="15.75">
      <c r="A28">
        <f>A19</f>
        <v>78</v>
      </c>
      <c r="B28" s="1">
        <f>C19/F19</f>
        <v>14.31916337805465</v>
      </c>
      <c r="C28" s="1">
        <f>(B28-D19)</f>
        <v>2.7141073362431793</v>
      </c>
      <c r="D28" s="1">
        <f>D$12*C28*D$4/D$9</f>
        <v>14.160560015181803</v>
      </c>
      <c r="E28" s="2">
        <f>12/D28*(1+0.15*D28^0.687)</f>
        <v>1.6326314164094078</v>
      </c>
      <c r="F28">
        <f>B28*0.001*A19*D$4/D$9</f>
        <v>72840.96153184322</v>
      </c>
      <c r="G28">
        <f>2*0.0396/F28^0.25</f>
        <v>0.004820934867803441</v>
      </c>
      <c r="H28" s="1"/>
    </row>
    <row r="29" spans="1:8" ht="15.75">
      <c r="A29">
        <f>A20</f>
        <v>63</v>
      </c>
      <c r="B29" s="1">
        <f>C20/F20</f>
        <v>14.94501243109749</v>
      </c>
      <c r="C29" s="1">
        <f>(B29-D20)</f>
        <v>2.8418690302869667</v>
      </c>
      <c r="D29" s="1">
        <f>D$12*C29*D$4/D$9</f>
        <v>14.827142766714605</v>
      </c>
      <c r="E29" s="2">
        <f>12/D29*(1+0.15*D29^0.687)</f>
        <v>1.5833096996774585</v>
      </c>
      <c r="F29">
        <f>B29*0.001*A20*D$4/D$9</f>
        <v>61404.50759733534</v>
      </c>
      <c r="G29">
        <f>2*0.0396/F29^0.25</f>
        <v>0.005031240970756553</v>
      </c>
      <c r="H29" s="1"/>
    </row>
    <row r="30" spans="1:8" ht="15.75">
      <c r="A30">
        <f>A21</f>
        <v>50</v>
      </c>
      <c r="B30" s="1">
        <f>C21/F21</f>
        <v>15.659449230842466</v>
      </c>
      <c r="C30" s="1">
        <f>(B30-D21)</f>
        <v>2.9932069758545055</v>
      </c>
      <c r="D30" s="1">
        <f>D$12*C30*D$4/D$9</f>
        <v>15.616732047936548</v>
      </c>
      <c r="E30" s="2">
        <f>12/D30*(1+0.15*D30^0.687)</f>
        <v>1.5299221680996904</v>
      </c>
      <c r="F30">
        <f>B30*0.001*A21*D$4/D$9</f>
        <v>51063.42140492108</v>
      </c>
      <c r="G30">
        <f>2*0.0396/F30^0.25</f>
        <v>0.005268630042623969</v>
      </c>
      <c r="H30" s="1"/>
    </row>
    <row r="31" spans="1:8" ht="15.75">
      <c r="A31">
        <f>A22</f>
        <v>40</v>
      </c>
      <c r="B31" s="1">
        <f>C22/F22</f>
        <v>16.39145702053621</v>
      </c>
      <c r="C31" s="1">
        <f>(B31-D22)</f>
        <v>3.156684448254161</v>
      </c>
      <c r="D31" s="1">
        <f>D$12*C31*D$4/D$9</f>
        <v>16.469657990891275</v>
      </c>
      <c r="E31" s="2">
        <f>12/D31*(1+0.15*D31^0.687)</f>
        <v>1.4775581069806134</v>
      </c>
      <c r="F31">
        <f>B31*0.001*A22*D$4/D$9</f>
        <v>42760.32266226837</v>
      </c>
      <c r="G31">
        <f>2*0.0396/F31^0.25</f>
        <v>0.005507632299316335</v>
      </c>
      <c r="H31" s="1"/>
    </row>
    <row r="32" spans="2:8" ht="15.75">
      <c r="B32" s="1"/>
      <c r="C32" s="1"/>
      <c r="D32" s="1"/>
      <c r="E32" s="1"/>
      <c r="F32" s="2"/>
      <c r="G32" s="1"/>
      <c r="H32" s="1"/>
    </row>
    <row r="33" spans="2:13" ht="15.75">
      <c r="B33" t="s">
        <v>16</v>
      </c>
      <c r="D33" t="s">
        <v>18</v>
      </c>
      <c r="G33" t="s">
        <v>16</v>
      </c>
      <c r="H33" s="1"/>
      <c r="I33" s="3"/>
      <c r="K33" s="3"/>
      <c r="M33" s="4"/>
    </row>
    <row r="34" spans="1:14" ht="15.75">
      <c r="A34" t="s">
        <v>22</v>
      </c>
      <c r="B34" t="s">
        <v>25</v>
      </c>
      <c r="C34" t="s">
        <v>34</v>
      </c>
      <c r="D34" t="s">
        <v>34</v>
      </c>
      <c r="E34" t="s">
        <v>34</v>
      </c>
      <c r="F34" t="s">
        <v>34</v>
      </c>
      <c r="G34" t="s">
        <v>35</v>
      </c>
      <c r="H34" s="1"/>
      <c r="I34" s="3"/>
      <c r="K34" s="3"/>
      <c r="M34" s="3"/>
      <c r="N34" s="4"/>
    </row>
    <row r="35" spans="1:7" ht="15.75">
      <c r="A35" t="s">
        <v>38</v>
      </c>
      <c r="B35" t="s">
        <v>45</v>
      </c>
      <c r="C35" t="s">
        <v>46</v>
      </c>
      <c r="D35" t="s">
        <v>46</v>
      </c>
      <c r="E35" t="s">
        <v>46</v>
      </c>
      <c r="F35" t="s">
        <v>46</v>
      </c>
      <c r="G35" t="s">
        <v>34</v>
      </c>
    </row>
    <row r="36" spans="2:7" ht="15.75">
      <c r="B36" t="s">
        <v>53</v>
      </c>
      <c r="C36" t="s">
        <v>54</v>
      </c>
      <c r="D36" t="s">
        <v>55</v>
      </c>
      <c r="E36" t="s">
        <v>56</v>
      </c>
      <c r="F36" t="s">
        <v>57</v>
      </c>
      <c r="G36" t="s">
        <v>58</v>
      </c>
    </row>
    <row r="37" spans="1:7" ht="15.75">
      <c r="A37" t="s">
        <v>61</v>
      </c>
      <c r="B37" t="s">
        <v>64</v>
      </c>
      <c r="C37" t="s">
        <v>65</v>
      </c>
      <c r="D37" t="s">
        <v>65</v>
      </c>
      <c r="E37" t="s">
        <v>65</v>
      </c>
      <c r="F37" t="s">
        <v>65</v>
      </c>
      <c r="G37" t="s">
        <v>65</v>
      </c>
    </row>
    <row r="38" spans="1:7" ht="15.75">
      <c r="A38">
        <f>A19</f>
        <v>78</v>
      </c>
      <c r="B38" s="2">
        <f>6/8*D$4/D$5*E28*A19/D$12*0.001*(C28/D19)^2</f>
        <v>0.03134402893343595</v>
      </c>
      <c r="C38" s="3">
        <f>0.5*D$4*F19*B28^2</f>
        <v>122.82586355557146</v>
      </c>
      <c r="D38" s="3">
        <f>0.5*D$5*(1-F19)*D19^2</f>
        <v>269.8520029092994</v>
      </c>
      <c r="E38" s="3">
        <f>2*G28*D$4*B28^2*D$7*1000/A19*F19</f>
        <v>455.4888371408634</v>
      </c>
      <c r="F38" s="3">
        <f>2*B38*D19*E19*D$7*1000/A19</f>
        <v>6506.345374565387</v>
      </c>
      <c r="G38" s="3">
        <f>(C38+D38+E38+F38)</f>
        <v>7354.512078171121</v>
      </c>
    </row>
    <row r="39" spans="1:7" ht="15.75">
      <c r="A39">
        <f>A20</f>
        <v>63</v>
      </c>
      <c r="B39" s="2">
        <f>6/8*D$4/D$5*E29*A20/D$12*0.001*(C29/D20)^2</f>
        <v>0.024747463718538372</v>
      </c>
      <c r="C39" s="3">
        <f>0.5*D$4*F20*B29^2</f>
        <v>133.69630337357256</v>
      </c>
      <c r="D39" s="3">
        <f>0.5*D$5*(1-F20)*D20^2</f>
        <v>431.4045181689293</v>
      </c>
      <c r="E39" s="3">
        <f>2*G29*D$4*B29^2*D$7*1000/A20*F20</f>
        <v>640.6269706398247</v>
      </c>
      <c r="F39" s="3">
        <f>2*B39*D20*E20*D$7*1000/A20</f>
        <v>10167.778725142041</v>
      </c>
      <c r="G39" s="3">
        <f>(C39+D39+E39+F39)</f>
        <v>11373.506517324367</v>
      </c>
    </row>
    <row r="40" spans="1:7" ht="15.75">
      <c r="A40">
        <f>A21</f>
        <v>50</v>
      </c>
      <c r="B40" s="2">
        <f>6/8*D$4/D$5*E30*A21/D$12*0.001*(C30/D21)^2</f>
        <v>0.01922338096471</v>
      </c>
      <c r="C40" s="3">
        <f>0.5*D$4*F21*B30^2</f>
        <v>146.60514543360807</v>
      </c>
      <c r="D40" s="3">
        <f>0.5*D$5*(1-F21)*D21^2</f>
        <v>716.7626898776055</v>
      </c>
      <c r="E40" s="3">
        <f>2*G30*D$4*B30^2*D$7*1000/A21*F21</f>
        <v>926.8899283617164</v>
      </c>
      <c r="F40" s="3">
        <f>2*B40*D21*E21*D$7*1000/A21</f>
        <v>16534.322698569027</v>
      </c>
      <c r="G40" s="3">
        <f>(C40+D40+E40+F40)</f>
        <v>18324.580462241956</v>
      </c>
    </row>
    <row r="41" spans="1:7" ht="15.75">
      <c r="A41">
        <f>A22</f>
        <v>40</v>
      </c>
      <c r="B41" s="2">
        <f>6/8*D$4/D$5*E31*A22/D$12*0.001*(C31/D22)^2</f>
        <v>0.015130262056256736</v>
      </c>
      <c r="C41" s="3">
        <f>0.5*D$4*F22*B31^2</f>
        <v>160.34631436380675</v>
      </c>
      <c r="D41" s="3">
        <f>0.5*D$5*(1-F22)*D22^2</f>
        <v>1170.2108197642951</v>
      </c>
      <c r="E41" s="3">
        <f>2*G31*D$4*B31^2*D$7*1000/A22*F22</f>
        <v>1324.6928100996493</v>
      </c>
      <c r="F41" s="3">
        <f>2*B41*D22*E22*D$7*1000/A22</f>
        <v>26558.394546151143</v>
      </c>
      <c r="G41" s="3">
        <f>(C41+D41+E41+F41)</f>
        <v>29213.644490378894</v>
      </c>
    </row>
    <row r="43" spans="2:10" ht="15.75">
      <c r="B43" t="s">
        <v>16</v>
      </c>
      <c r="C43" t="s">
        <v>19</v>
      </c>
      <c r="E43" t="s">
        <v>16</v>
      </c>
      <c r="F43" t="s">
        <v>17</v>
      </c>
      <c r="G43" t="s">
        <v>20</v>
      </c>
      <c r="H43" t="s">
        <v>17</v>
      </c>
      <c r="I43" t="s">
        <v>21</v>
      </c>
      <c r="J43" t="s">
        <v>68</v>
      </c>
    </row>
    <row r="44" spans="1:10" ht="15.75">
      <c r="A44" t="s">
        <v>22</v>
      </c>
      <c r="B44" t="s">
        <v>26</v>
      </c>
      <c r="C44" t="s">
        <v>33</v>
      </c>
      <c r="D44" t="s">
        <v>36</v>
      </c>
      <c r="E44" t="s">
        <v>35</v>
      </c>
      <c r="F44" t="s">
        <v>17</v>
      </c>
      <c r="G44" t="s">
        <v>34</v>
      </c>
      <c r="H44" t="s">
        <v>17</v>
      </c>
      <c r="I44" t="s">
        <v>37</v>
      </c>
      <c r="J44" t="s">
        <v>69</v>
      </c>
    </row>
    <row r="45" spans="1:9" ht="15.75">
      <c r="A45" t="s">
        <v>38</v>
      </c>
      <c r="B45" t="s">
        <v>47</v>
      </c>
      <c r="C45" t="s">
        <v>47</v>
      </c>
      <c r="D45" t="s">
        <v>48</v>
      </c>
      <c r="E45" t="s">
        <v>49</v>
      </c>
      <c r="F45" t="s">
        <v>17</v>
      </c>
      <c r="G45" t="s">
        <v>50</v>
      </c>
      <c r="H45" t="s">
        <v>17</v>
      </c>
      <c r="I45" t="s">
        <v>51</v>
      </c>
    </row>
    <row r="46" spans="2:8" ht="15.75">
      <c r="B46" t="s">
        <v>59</v>
      </c>
      <c r="C46" t="s">
        <v>59</v>
      </c>
      <c r="E46" t="s">
        <v>58</v>
      </c>
      <c r="F46" t="s">
        <v>17</v>
      </c>
      <c r="G46" t="s">
        <v>60</v>
      </c>
      <c r="H46" t="s">
        <v>17</v>
      </c>
    </row>
    <row r="47" spans="1:10" ht="15.75">
      <c r="A47" t="s">
        <v>61</v>
      </c>
      <c r="B47" t="s">
        <v>65</v>
      </c>
      <c r="C47" t="s">
        <v>65</v>
      </c>
      <c r="D47" t="s">
        <v>65</v>
      </c>
      <c r="E47" t="s">
        <v>65</v>
      </c>
      <c r="F47" t="s">
        <v>17</v>
      </c>
      <c r="G47" t="s">
        <v>65</v>
      </c>
      <c r="H47" t="s">
        <v>17</v>
      </c>
      <c r="I47" t="s">
        <v>66</v>
      </c>
      <c r="J47" t="s">
        <v>70</v>
      </c>
    </row>
    <row r="48" spans="1:10" ht="15.75">
      <c r="A48">
        <f>A19</f>
        <v>78</v>
      </c>
      <c r="B48" s="3">
        <f>D$5*D$6*(1-F19)*9.81</f>
        <v>1179.3736476963952</v>
      </c>
      <c r="C48" s="3">
        <f>D$4*D$6*F19*9.81</f>
        <v>352.5939006491057</v>
      </c>
      <c r="D48" s="3">
        <f>2*G28*D$4*B28^2*D$6*1000/A19*F19+0.057*E19*D$6*(9.81*1000/A19)^0.5</f>
        <v>1802.8274598136527</v>
      </c>
      <c r="E48" s="3">
        <f>(B48+C48+D48)</f>
        <v>3334.7950081591534</v>
      </c>
      <c r="F48" t="s">
        <v>17</v>
      </c>
      <c r="G48" s="3">
        <f>E48/D$6*7.5*D$8</f>
        <v>6669.590016318307</v>
      </c>
      <c r="H48" t="s">
        <v>17</v>
      </c>
      <c r="I48" s="1">
        <f>(G38+E48+G48)/100000</f>
        <v>0.17358897102648582</v>
      </c>
      <c r="J48">
        <f>C19*3.142*(A48/1000)^2/4</f>
        <v>0.06832133223254898</v>
      </c>
    </row>
    <row r="49" spans="1:10" ht="15.75">
      <c r="A49">
        <f>A20</f>
        <v>63</v>
      </c>
      <c r="B49" s="3">
        <f>D$5*D$6*(1-F20)*9.81</f>
        <v>1733.439102754348</v>
      </c>
      <c r="C49" s="3">
        <f>D$4*D$6*F20*9.81</f>
        <v>352.3279492306779</v>
      </c>
      <c r="D49" s="3">
        <f>2*G29*D$4*B29^2*D$6*1000/A20*F20+0.057*E20*D$6*(9.81*1000/A20)^0.5</f>
        <v>2802.4207661250066</v>
      </c>
      <c r="E49" s="3">
        <f>(B49+C49+D49)</f>
        <v>4888.187818110033</v>
      </c>
      <c r="F49" t="s">
        <v>17</v>
      </c>
      <c r="G49" s="3">
        <f>E49/D$6*7.5*D$8</f>
        <v>9776.375636220066</v>
      </c>
      <c r="H49" t="s">
        <v>17</v>
      </c>
      <c r="I49" s="1">
        <f>(G39+E49+G49)/100000</f>
        <v>0.26038069971654465</v>
      </c>
      <c r="J49">
        <f>C20*3.142*(A49/1000)^2/4</f>
        <v>0.046483535927249554</v>
      </c>
    </row>
    <row r="50" spans="1:10" ht="15.75">
      <c r="A50">
        <f>A21</f>
        <v>50</v>
      </c>
      <c r="B50" s="3">
        <f>D$5*D$6*(1-F21)*9.81</f>
        <v>2629.6628328859847</v>
      </c>
      <c r="C50" s="3">
        <f>D$4*D$6*F21*9.81</f>
        <v>351.89776184021474</v>
      </c>
      <c r="D50" s="3">
        <f>2*G30*D$4*B30^2*D$6*1000/A21*F21+0.057*E21*D$6*(9.81*1000/A21)^0.5</f>
        <v>4564.615629816</v>
      </c>
      <c r="E50" s="3">
        <f>(B50+C50+D50)</f>
        <v>7546.1762245422</v>
      </c>
      <c r="F50" t="s">
        <v>17</v>
      </c>
      <c r="G50" s="3">
        <f>E50/D$6*7.5*D$8</f>
        <v>15092.3524490844</v>
      </c>
      <c r="H50" t="s">
        <v>17</v>
      </c>
      <c r="I50" s="1">
        <f>(G40+E50+G50)/100000</f>
        <v>0.40963109135868553</v>
      </c>
      <c r="J50">
        <f>C21*3.142*(A50/1000)^2/4</f>
        <v>0.030641334623933782</v>
      </c>
    </row>
    <row r="51" spans="1:10" ht="15.75">
      <c r="A51">
        <f>A22</f>
        <v>40</v>
      </c>
      <c r="B51" s="3">
        <f>D$5*D$6*(1-F22)*9.81</f>
        <v>3932.343083858229</v>
      </c>
      <c r="C51" s="3">
        <f>D$4*D$6*F22*9.81</f>
        <v>351.2724753197481</v>
      </c>
      <c r="D51" s="3">
        <f>2*G31*D$4*B31^2*D$6*1000/A22*F22+0.057*E22*D$6*(9.81*1000/A22)^0.5</f>
        <v>7385.020826818968</v>
      </c>
      <c r="E51" s="3">
        <f>(B51+C51+D51)</f>
        <v>11668.636385996946</v>
      </c>
      <c r="F51" t="s">
        <v>17</v>
      </c>
      <c r="G51" s="3">
        <f>E51/D$6*7.5*D$8</f>
        <v>23337.272771993892</v>
      </c>
      <c r="H51" t="s">
        <v>17</v>
      </c>
      <c r="I51" s="1">
        <f>(G41+E51+G51)/100000</f>
        <v>0.6421955364836973</v>
      </c>
      <c r="J51">
        <f>C22*3.142*(A51/1000)^2/4</f>
        <v>0.020490678735875633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r.g.holdich@gmail.com</cp:lastModifiedBy>
  <dcterms:modified xsi:type="dcterms:W3CDTF">2020-10-21T09:51:17Z</dcterms:modified>
  <cp:category/>
  <cp:version/>
  <cp:contentType/>
  <cp:contentStatus/>
</cp:coreProperties>
</file>