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6275" windowHeight="8250"/>
  </bookViews>
  <sheets>
    <sheet name="Analysis" sheetId="1" r:id="rId1"/>
    <sheet name="Prediction" sheetId="2" r:id="rId2"/>
  </sheets>
  <definedNames>
    <definedName name="column_f">Analysis!$N$26:$N$28</definedName>
    <definedName name="column_f_pred">Prediction!$C$4:$C$6</definedName>
    <definedName name="column_k">Analysis!$I$22:$I$24</definedName>
    <definedName name="column_k_pred">Prediction!$G$4:$G$6</definedName>
    <definedName name="column_p">Analysis!$I$28:$I$30</definedName>
    <definedName name="column_p_pred">Prediction!$I$4:$I$6</definedName>
    <definedName name="column_p_q">Prediction!$N$14:$N$16</definedName>
    <definedName name="column_q_pred">Prediction!$L$4:$L$6</definedName>
    <definedName name="matrix_a">Analysis!$M$21:$O$23</definedName>
    <definedName name="matrix_a_inverse">Prediction!$K$23:$M$25</definedName>
    <definedName name="matrix_a_pred">Prediction!$C$22:$E$24</definedName>
    <definedName name="matrix_C">Prediction!$O$33:$Q$35</definedName>
    <definedName name="matrix_I_C">Prediction!$K$33:$M$35</definedName>
    <definedName name="matrix_identity">Prediction!$O$23:$Q$25</definedName>
    <definedName name="matrix_M">Analysis!$M$32:$O$34</definedName>
    <definedName name="matrix_M_inverse">Prediction!$O$28:$Q$30</definedName>
    <definedName name="matrix_M_pred">Prediction!$G$22:$I$24</definedName>
    <definedName name="matrix_mm">Analysis!$M$37:$O$39</definedName>
    <definedName name="matrix_step">Prediction!$K$28:$M$30</definedName>
  </definedNames>
  <calcPr calcId="125725"/>
</workbook>
</file>

<file path=xl/calcChain.xml><?xml version="1.0" encoding="utf-8"?>
<calcChain xmlns="http://schemas.openxmlformats.org/spreadsheetml/2006/main">
  <c r="O4" i="2"/>
  <c r="I22" i="1" a="1"/>
  <c r="I22" s="1"/>
  <c r="G4" i="2" a="1"/>
  <c r="G5" s="1"/>
  <c r="O28" a="1"/>
  <c r="O29" s="1"/>
  <c r="K23" a="1"/>
  <c r="K24" s="1"/>
  <c r="C7"/>
  <c r="D14"/>
  <c r="C36"/>
  <c r="C35"/>
  <c r="C34"/>
  <c r="C41" i="1"/>
  <c r="C42"/>
  <c r="C40"/>
  <c r="N29"/>
  <c r="I28" l="1" a="1"/>
  <c r="I28" s="1"/>
  <c r="I24"/>
  <c r="I23"/>
  <c r="G4" i="2"/>
  <c r="G6"/>
  <c r="O30"/>
  <c r="Q28"/>
  <c r="Q29"/>
  <c r="P28"/>
  <c r="Q30"/>
  <c r="P29"/>
  <c r="O28"/>
  <c r="P30"/>
  <c r="K25"/>
  <c r="M23"/>
  <c r="M24"/>
  <c r="L23"/>
  <c r="M25"/>
  <c r="L24"/>
  <c r="K23"/>
  <c r="L25"/>
  <c r="I30" i="1" l="1"/>
  <c r="I29"/>
  <c r="G7" i="2"/>
  <c r="D36" s="1"/>
  <c r="G36" s="1"/>
  <c r="I4" a="1"/>
  <c r="I4" s="1"/>
  <c r="K28" a="1"/>
  <c r="I25" i="1"/>
  <c r="D40" s="1"/>
  <c r="I5" i="2" l="1"/>
  <c r="I6"/>
  <c r="L28"/>
  <c r="M30"/>
  <c r="K29"/>
  <c r="L29"/>
  <c r="K30"/>
  <c r="K28"/>
  <c r="M28"/>
  <c r="L30"/>
  <c r="M29"/>
  <c r="D35"/>
  <c r="G35" s="1"/>
  <c r="D34"/>
  <c r="G34" s="1"/>
  <c r="D41" i="1"/>
  <c r="G41" s="1"/>
  <c r="I31"/>
  <c r="E42" s="1"/>
  <c r="H42" s="1"/>
  <c r="G40"/>
  <c r="D42"/>
  <c r="G42" s="1"/>
  <c r="K33" i="2" l="1" a="1"/>
  <c r="L34" s="1"/>
  <c r="I7"/>
  <c r="G27" s="1"/>
  <c r="G28" s="1"/>
  <c r="G39"/>
  <c r="G40" s="1"/>
  <c r="G33" i="1"/>
  <c r="G34" s="1"/>
  <c r="E40"/>
  <c r="G45"/>
  <c r="G46" s="1"/>
  <c r="E41"/>
  <c r="H41" s="1"/>
  <c r="K34" i="2" l="1"/>
  <c r="O33" s="1" a="1"/>
  <c r="M34"/>
  <c r="L33"/>
  <c r="L35"/>
  <c r="K35"/>
  <c r="M35"/>
  <c r="K33"/>
  <c r="M33"/>
  <c r="E35"/>
  <c r="H35" s="1"/>
  <c r="E36"/>
  <c r="H36" s="1"/>
  <c r="E34"/>
  <c r="H34" s="1"/>
  <c r="N14" a="1"/>
  <c r="H40" i="1"/>
  <c r="H45" s="1"/>
  <c r="H46" s="1"/>
  <c r="G47" s="1"/>
  <c r="H39" i="2" l="1"/>
  <c r="H40" s="1"/>
  <c r="G41" s="1"/>
  <c r="G42" s="1"/>
  <c r="C14" s="1"/>
  <c r="Q33"/>
  <c r="Q35"/>
  <c r="O33"/>
  <c r="Q34"/>
  <c r="O34"/>
  <c r="P33"/>
  <c r="O35"/>
  <c r="P34"/>
  <c r="P35"/>
  <c r="N15"/>
  <c r="N14"/>
  <c r="N16"/>
  <c r="N17" l="1"/>
  <c r="L4" a="1"/>
  <c r="L5" l="1"/>
  <c r="L4"/>
  <c r="L6"/>
  <c r="L7" l="1"/>
  <c r="N6" s="1"/>
  <c r="N5" l="1"/>
  <c r="N4"/>
  <c r="O5" s="1"/>
  <c r="O6" l="1"/>
  <c r="O7" s="1"/>
</calcChain>
</file>

<file path=xl/sharedStrings.xml><?xml version="1.0" encoding="utf-8"?>
<sst xmlns="http://schemas.openxmlformats.org/spreadsheetml/2006/main" count="110" uniqueCount="57">
  <si>
    <t>Definitions:</t>
  </si>
  <si>
    <t>matrix_a</t>
  </si>
  <si>
    <t>column_f</t>
  </si>
  <si>
    <t>INPUTS:</t>
  </si>
  <si>
    <t>matrix_M</t>
  </si>
  <si>
    <t>column_k</t>
  </si>
  <si>
    <t>Sum:</t>
  </si>
  <si>
    <t>te/h</t>
  </si>
  <si>
    <t>column_p</t>
  </si>
  <si>
    <t>is</t>
  </si>
  <si>
    <t>Mass of {p - q} must be equal to {p - f} =</t>
  </si>
  <si>
    <t>Circulating load:</t>
  </si>
  <si>
    <t>%</t>
  </si>
  <si>
    <t>Mill power:</t>
  </si>
  <si>
    <t>MWh/te</t>
  </si>
  <si>
    <t>mass</t>
  </si>
  <si>
    <t>fraction</t>
  </si>
  <si>
    <t>(-)</t>
  </si>
  <si>
    <t>Upper</t>
  </si>
  <si>
    <t>size</t>
  </si>
  <si>
    <t>(um)</t>
  </si>
  <si>
    <t>Mill feed</t>
  </si>
  <si>
    <t>Mill prod</t>
  </si>
  <si>
    <t>Mid size</t>
  </si>
  <si>
    <t>of grade</t>
  </si>
  <si>
    <t>Sv_final:</t>
  </si>
  <si>
    <t>Sv_initial:</t>
  </si>
  <si>
    <t>Rittinger's constant:</t>
  </si>
  <si>
    <t>um^2/um^3</t>
  </si>
  <si>
    <t>m^2/m^3</t>
  </si>
  <si>
    <t>MWh m/te</t>
  </si>
  <si>
    <t>mi/xi</t>
  </si>
  <si>
    <t>(um^-1)</t>
  </si>
  <si>
    <t>Rittingers constant:</t>
  </si>
  <si>
    <t>Mill energy:</t>
  </si>
  <si>
    <t xml:space="preserve">MWh </t>
  </si>
  <si>
    <t>per tonne</t>
  </si>
  <si>
    <t>total drawn</t>
  </si>
  <si>
    <t>Mill power drawn:</t>
  </si>
  <si>
    <t>column_f_pred</t>
  </si>
  <si>
    <t>column_k_pred</t>
  </si>
  <si>
    <t>column_p_pred</t>
  </si>
  <si>
    <t>matrix_a_pred</t>
  </si>
  <si>
    <t>matrix_M_pred</t>
  </si>
  <si>
    <t>matrix_a_inverse</t>
  </si>
  <si>
    <t>matrix_identity</t>
  </si>
  <si>
    <t>matrix_M_inverse</t>
  </si>
  <si>
    <t>matrix_step</t>
  </si>
  <si>
    <t>matrix_I_C</t>
  </si>
  <si>
    <t>matrix_C</t>
  </si>
  <si>
    <t>column_q_pred</t>
  </si>
  <si>
    <t>column_p_q</t>
  </si>
  <si>
    <t>Backing out the classifier matrix:</t>
  </si>
  <si>
    <t>PSD:</t>
  </si>
  <si>
    <t>n3(x)</t>
  </si>
  <si>
    <t>N3(x)</t>
  </si>
  <si>
    <t>Chapter 11 Question 3 - do check the 'Prediction' worksheet as well as this analysis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</si>
</sst>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" fontId="2" fillId="0" borderId="0" xfId="0" applyNumberFormat="1" applyFont="1"/>
    <xf numFmtId="0" fontId="1" fillId="2" borderId="1" xfId="1"/>
    <xf numFmtId="0" fontId="2" fillId="0" borderId="4" xfId="0" applyFont="1" applyBorder="1"/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4" xfId="0" applyBorder="1"/>
    <xf numFmtId="0" fontId="0" fillId="0" borderId="5" xfId="0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Prediction!$B$34:$B$37</c:f>
              <c:numCache>
                <c:formatCode>General</c:formatCode>
                <c:ptCount val="4"/>
                <c:pt idx="0">
                  <c:v>500</c:v>
                </c:pt>
                <c:pt idx="1">
                  <c:v>200</c:v>
                </c:pt>
                <c:pt idx="2">
                  <c:v>100</c:v>
                </c:pt>
                <c:pt idx="3">
                  <c:v>0</c:v>
                </c:pt>
              </c:numCache>
            </c:numRef>
          </c:xVal>
          <c:yVal>
            <c:numRef>
              <c:f>Prediction!$O$4:$O$7</c:f>
              <c:numCache>
                <c:formatCode>0.00</c:formatCode>
                <c:ptCount val="4"/>
                <c:pt idx="0">
                  <c:v>100</c:v>
                </c:pt>
                <c:pt idx="1">
                  <c:v>85.109677419354838</c:v>
                </c:pt>
                <c:pt idx="2">
                  <c:v>23.003225806451617</c:v>
                </c:pt>
                <c:pt idx="3">
                  <c:v>0</c:v>
                </c:pt>
              </c:numCache>
            </c:numRef>
          </c:yVal>
          <c:smooth val="1"/>
        </c:ser>
        <c:dLbls/>
        <c:axId val="118519296"/>
        <c:axId val="118521216"/>
      </c:scatterChart>
      <c:valAx>
        <c:axId val="11851929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Particle size, microns.</a:t>
                </a:r>
              </a:p>
            </c:rich>
          </c:tx>
          <c:layout/>
        </c:title>
        <c:numFmt formatCode="General" sourceLinked="1"/>
        <c:tickLblPos val="nextTo"/>
        <c:crossAx val="118521216"/>
        <c:crosses val="autoZero"/>
        <c:crossBetween val="midCat"/>
      </c:valAx>
      <c:valAx>
        <c:axId val="118521216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undersize, %.</a:t>
                </a:r>
              </a:p>
            </c:rich>
          </c:tx>
          <c:layout/>
        </c:title>
        <c:numFmt formatCode="0" sourceLinked="0"/>
        <c:tickLblPos val="nextTo"/>
        <c:crossAx val="118519296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w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15</xdr:col>
      <xdr:colOff>529604</xdr:colOff>
      <xdr:row>17</xdr:row>
      <xdr:rowOff>16646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219075"/>
          <a:ext cx="8949704" cy="3036071"/>
        </a:xfrm>
        <a:prstGeom prst="rect">
          <a:avLst/>
        </a:prstGeom>
      </xdr:spPr>
    </xdr:pic>
    <xdr:clientData/>
  </xdr:twoCellAnchor>
  <xdr:twoCellAnchor editAs="oneCell">
    <xdr:from>
      <xdr:col>2</xdr:col>
      <xdr:colOff>279052</xdr:colOff>
      <xdr:row>21</xdr:row>
      <xdr:rowOff>0</xdr:rowOff>
    </xdr:from>
    <xdr:to>
      <xdr:col>4</xdr:col>
      <xdr:colOff>536227</xdr:colOff>
      <xdr:row>24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252" y="571500"/>
          <a:ext cx="1476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125313</xdr:colOff>
      <xdr:row>21</xdr:row>
      <xdr:rowOff>0</xdr:rowOff>
    </xdr:from>
    <xdr:to>
      <xdr:col>6</xdr:col>
      <xdr:colOff>496788</xdr:colOff>
      <xdr:row>24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82913" y="57150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125966</xdr:rowOff>
    </xdr:from>
    <xdr:to>
      <xdr:col>2</xdr:col>
      <xdr:colOff>254496</xdr:colOff>
      <xdr:row>24</xdr:row>
      <xdr:rowOff>16131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09600" y="697466"/>
          <a:ext cx="864096" cy="46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>
            <a:spcBef>
              <a:spcPct val="50000"/>
            </a:spcBef>
          </a:pPr>
          <a:r>
            <a:rPr lang="en-GB" altLang="en-US"/>
            <a:t>{k}=</a:t>
          </a:r>
        </a:p>
      </xdr:txBody>
    </xdr:sp>
    <xdr:clientData/>
  </xdr:twoCellAnchor>
  <xdr:twoCellAnchor editAs="oneCell">
    <xdr:from>
      <xdr:col>6</xdr:col>
      <xdr:colOff>257175</xdr:colOff>
      <xdr:row>16</xdr:row>
      <xdr:rowOff>38100</xdr:rowOff>
    </xdr:from>
    <xdr:to>
      <xdr:col>8</xdr:col>
      <xdr:colOff>597179</xdr:colOff>
      <xdr:row>19</xdr:row>
      <xdr:rowOff>112832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9925" y="3086100"/>
          <a:ext cx="1749704" cy="64623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126356</xdr:rowOff>
    </xdr:from>
    <xdr:to>
      <xdr:col>2</xdr:col>
      <xdr:colOff>254496</xdr:colOff>
      <xdr:row>29</xdr:row>
      <xdr:rowOff>16521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6700" y="5079356"/>
          <a:ext cx="864096" cy="46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>
            <a:spcBef>
              <a:spcPct val="50000"/>
            </a:spcBef>
          </a:pPr>
          <a:r>
            <a:rPr lang="en-GB" altLang="en-US"/>
            <a:t>{p}=</a:t>
          </a:r>
        </a:p>
      </xdr:txBody>
    </xdr:sp>
    <xdr:clientData/>
  </xdr:twoCellAnchor>
  <xdr:twoCellAnchor editAs="oneCell">
    <xdr:from>
      <xdr:col>2</xdr:col>
      <xdr:colOff>572903</xdr:colOff>
      <xdr:row>26</xdr:row>
      <xdr:rowOff>0</xdr:rowOff>
    </xdr:from>
    <xdr:to>
      <xdr:col>4</xdr:col>
      <xdr:colOff>277628</xdr:colOff>
      <xdr:row>29</xdr:row>
      <xdr:rowOff>142875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49203" y="4953000"/>
          <a:ext cx="9239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231427</xdr:colOff>
      <xdr:row>26</xdr:row>
      <xdr:rowOff>140346</xdr:rowOff>
    </xdr:from>
    <xdr:to>
      <xdr:col>7</xdr:col>
      <xdr:colOff>94257</xdr:colOff>
      <xdr:row>29</xdr:row>
      <xdr:rowOff>26046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936527" y="5093346"/>
          <a:ext cx="7200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>
            <a:spcBef>
              <a:spcPct val="50000"/>
            </a:spcBef>
          </a:pPr>
          <a:r>
            <a:rPr lang="en-GB" altLang="en-US"/>
            <a:t>{k}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15</xdr:col>
      <xdr:colOff>586754</xdr:colOff>
      <xdr:row>17</xdr:row>
      <xdr:rowOff>47397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095500"/>
          <a:ext cx="8949704" cy="1761897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35</xdr:row>
      <xdr:rowOff>95250</xdr:rowOff>
    </xdr:from>
    <xdr:to>
      <xdr:col>15</xdr:col>
      <xdr:colOff>276225</xdr:colOff>
      <xdr:row>37</xdr:row>
      <xdr:rowOff>171450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6010275" y="6762750"/>
          <a:ext cx="2895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>
            <a:spcBef>
              <a:spcPct val="50000"/>
            </a:spcBef>
          </a:pPr>
          <a:r>
            <a:rPr lang="en-GB" altLang="en-US"/>
            <a:t>{k}=[I-(I-C)M]</a:t>
          </a:r>
          <a:r>
            <a:rPr lang="en-GB" altLang="en-US" baseline="30000"/>
            <a:t>-1</a:t>
          </a:r>
          <a:r>
            <a:rPr lang="en-GB" altLang="en-US"/>
            <a:t>{f}</a:t>
          </a:r>
        </a:p>
      </xdr:txBody>
    </xdr:sp>
    <xdr:clientData/>
  </xdr:twoCellAnchor>
  <xdr:twoCellAnchor>
    <xdr:from>
      <xdr:col>16</xdr:col>
      <xdr:colOff>38100</xdr:colOff>
      <xdr:row>3</xdr:row>
      <xdr:rowOff>4762</xdr:rowOff>
    </xdr:from>
    <xdr:to>
      <xdr:col>22</xdr:col>
      <xdr:colOff>333375</xdr:colOff>
      <xdr:row>18</xdr:row>
      <xdr:rowOff>142875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7"/>
  <sheetViews>
    <sheetView tabSelected="1" workbookViewId="0"/>
  </sheetViews>
  <sheetFormatPr defaultRowHeight="15"/>
  <cols>
    <col min="1" max="1" width="4" customWidth="1"/>
    <col min="6" max="6" width="3.7109375" customWidth="1"/>
    <col min="7" max="7" width="12" bestFit="1" customWidth="1"/>
  </cols>
  <sheetData>
    <row r="1" spans="2:2">
      <c r="B1" t="s">
        <v>56</v>
      </c>
    </row>
    <row r="18" spans="8:15">
      <c r="L18" s="3" t="s">
        <v>3</v>
      </c>
    </row>
    <row r="19" spans="8:15">
      <c r="L19" t="s">
        <v>0</v>
      </c>
    </row>
    <row r="20" spans="8:15">
      <c r="M20" t="s">
        <v>1</v>
      </c>
    </row>
    <row r="21" spans="8:15">
      <c r="I21" t="s">
        <v>5</v>
      </c>
      <c r="M21" s="10">
        <v>1.923</v>
      </c>
      <c r="N21" s="10">
        <v>0</v>
      </c>
      <c r="O21" s="10">
        <v>0</v>
      </c>
    </row>
    <row r="22" spans="8:15">
      <c r="I22" s="4">
        <f t="array" ref="I22:I24">MMULT(matrix_a,column_f)</f>
        <v>3.8460000000000001</v>
      </c>
      <c r="M22" s="10">
        <v>0.36099999999999999</v>
      </c>
      <c r="N22" s="10">
        <v>1.5629999999999999</v>
      </c>
      <c r="O22" s="10">
        <v>0</v>
      </c>
    </row>
    <row r="23" spans="8:15">
      <c r="H23" s="1" t="s">
        <v>9</v>
      </c>
      <c r="I23" s="4">
        <v>2.2850000000000001</v>
      </c>
      <c r="M23" s="10">
        <v>2.5000000000000001E-2</v>
      </c>
      <c r="N23" s="10">
        <v>1.7000000000000001E-2</v>
      </c>
      <c r="O23" s="10">
        <v>1.111</v>
      </c>
    </row>
    <row r="24" spans="8:15">
      <c r="I24" s="4">
        <v>0.17810000000000001</v>
      </c>
    </row>
    <row r="25" spans="8:15">
      <c r="H25" t="s">
        <v>6</v>
      </c>
      <c r="I25" s="5">
        <f>SUM(column_k)</f>
        <v>6.3090999999999999</v>
      </c>
      <c r="J25" t="s">
        <v>7</v>
      </c>
      <c r="M25" t="s">
        <v>2</v>
      </c>
    </row>
    <row r="26" spans="8:15">
      <c r="N26" s="10">
        <v>2</v>
      </c>
    </row>
    <row r="27" spans="8:15">
      <c r="I27" t="s">
        <v>8</v>
      </c>
      <c r="N27" s="10">
        <v>1</v>
      </c>
    </row>
    <row r="28" spans="8:15">
      <c r="H28" s="1" t="s">
        <v>9</v>
      </c>
      <c r="I28" s="4">
        <f t="array" ref="I28:I30">MMULT(matrix_M,column_k)</f>
        <v>2.3075999999999999</v>
      </c>
      <c r="N28" s="10">
        <v>0.1</v>
      </c>
    </row>
    <row r="29" spans="8:15">
      <c r="I29" s="4">
        <v>3.2103000000000002</v>
      </c>
      <c r="M29" t="s">
        <v>6</v>
      </c>
      <c r="N29" s="5">
        <f>SUM(column_f)</f>
        <v>3.1</v>
      </c>
      <c r="O29" t="s">
        <v>7</v>
      </c>
    </row>
    <row r="30" spans="8:15">
      <c r="I30" s="4">
        <v>0.79120000000000013</v>
      </c>
    </row>
    <row r="31" spans="8:15">
      <c r="H31" t="s">
        <v>6</v>
      </c>
      <c r="I31" s="5">
        <f>SUM(column_p)</f>
        <v>6.3090999999999999</v>
      </c>
      <c r="J31" t="s">
        <v>7</v>
      </c>
      <c r="M31" t="s">
        <v>4</v>
      </c>
    </row>
    <row r="32" spans="8:15">
      <c r="M32" s="10">
        <v>0.6</v>
      </c>
      <c r="N32" s="10">
        <v>0</v>
      </c>
      <c r="O32" s="10">
        <v>0</v>
      </c>
    </row>
    <row r="33" spans="2:15">
      <c r="B33" t="s">
        <v>10</v>
      </c>
      <c r="G33">
        <f>I31-N29</f>
        <v>3.2090999999999998</v>
      </c>
      <c r="H33" t="s">
        <v>7</v>
      </c>
      <c r="M33" s="10">
        <v>0.3</v>
      </c>
      <c r="N33" s="10">
        <v>0.9</v>
      </c>
      <c r="O33" s="10">
        <v>0</v>
      </c>
    </row>
    <row r="34" spans="2:15">
      <c r="B34" s="2" t="s">
        <v>11</v>
      </c>
      <c r="G34" s="9">
        <f>G33/N29*100</f>
        <v>103.51935483870966</v>
      </c>
      <c r="H34" s="2" t="s">
        <v>12</v>
      </c>
      <c r="M34" s="10">
        <v>0.1</v>
      </c>
      <c r="N34" s="10">
        <v>0.1</v>
      </c>
      <c r="O34" s="10">
        <v>1</v>
      </c>
    </row>
    <row r="36" spans="2:15">
      <c r="B36" s="7" t="s">
        <v>18</v>
      </c>
      <c r="C36" s="7" t="s">
        <v>23</v>
      </c>
      <c r="D36" s="7" t="s">
        <v>21</v>
      </c>
      <c r="E36" s="7" t="s">
        <v>22</v>
      </c>
      <c r="G36" s="7" t="s">
        <v>21</v>
      </c>
      <c r="H36" s="7" t="s">
        <v>22</v>
      </c>
      <c r="L36" t="s">
        <v>13</v>
      </c>
      <c r="N36" s="10">
        <v>0.4</v>
      </c>
      <c r="O36" t="s">
        <v>14</v>
      </c>
    </row>
    <row r="37" spans="2:15">
      <c r="B37" s="7" t="s">
        <v>19</v>
      </c>
      <c r="C37" s="7" t="s">
        <v>24</v>
      </c>
      <c r="D37" s="7" t="s">
        <v>15</v>
      </c>
      <c r="E37" s="7" t="s">
        <v>15</v>
      </c>
      <c r="G37" s="7" t="s">
        <v>31</v>
      </c>
      <c r="H37" s="7" t="s">
        <v>31</v>
      </c>
    </row>
    <row r="38" spans="2:15">
      <c r="B38" s="7"/>
      <c r="C38" s="7"/>
      <c r="D38" s="7" t="s">
        <v>16</v>
      </c>
      <c r="E38" s="7" t="s">
        <v>16</v>
      </c>
    </row>
    <row r="39" spans="2:15">
      <c r="B39" s="7" t="s">
        <v>20</v>
      </c>
      <c r="C39" s="7" t="s">
        <v>20</v>
      </c>
      <c r="D39" s="8" t="s">
        <v>17</v>
      </c>
      <c r="E39" s="8" t="s">
        <v>17</v>
      </c>
      <c r="G39" s="7" t="s">
        <v>32</v>
      </c>
      <c r="H39" s="7" t="s">
        <v>32</v>
      </c>
    </row>
    <row r="40" spans="2:15">
      <c r="B40" s="10">
        <v>500</v>
      </c>
      <c r="C40">
        <f>(B40+B41)/2</f>
        <v>350</v>
      </c>
      <c r="D40">
        <f>I22/I$25</f>
        <v>0.60959566340682503</v>
      </c>
      <c r="E40">
        <f>I28/I$31</f>
        <v>0.36575739804409502</v>
      </c>
      <c r="G40">
        <f>D40/C40</f>
        <v>1.7417018954480716E-3</v>
      </c>
      <c r="H40">
        <f>E40/C40</f>
        <v>1.0450211372688429E-3</v>
      </c>
    </row>
    <row r="41" spans="2:15">
      <c r="B41" s="10">
        <v>200</v>
      </c>
      <c r="C41">
        <f t="shared" ref="C41:C42" si="0">(B41+B42)/2</f>
        <v>150</v>
      </c>
      <c r="D41">
        <f t="shared" ref="D41:D42" si="1">I23/I$25</f>
        <v>0.36217527064082045</v>
      </c>
      <c r="E41">
        <f t="shared" ref="E41:E42" si="2">I29/I$31</f>
        <v>0.50883644259878591</v>
      </c>
      <c r="G41">
        <f t="shared" ref="G41:G42" si="3">D41/C41</f>
        <v>2.4145018042721362E-3</v>
      </c>
      <c r="H41">
        <f t="shared" ref="H41:H42" si="4">E41/C41</f>
        <v>3.3922429506585729E-3</v>
      </c>
    </row>
    <row r="42" spans="2:15">
      <c r="B42" s="10">
        <v>100</v>
      </c>
      <c r="C42">
        <f t="shared" si="0"/>
        <v>50</v>
      </c>
      <c r="D42">
        <f t="shared" si="1"/>
        <v>2.8229065952354537E-2</v>
      </c>
      <c r="E42">
        <f t="shared" si="2"/>
        <v>0.1254061593571191</v>
      </c>
      <c r="G42">
        <f t="shared" si="3"/>
        <v>5.645813190470907E-4</v>
      </c>
      <c r="H42">
        <f t="shared" si="4"/>
        <v>2.508123187142382E-3</v>
      </c>
    </row>
    <row r="43" spans="2:15">
      <c r="B43" s="10">
        <v>0</v>
      </c>
    </row>
    <row r="44" spans="2:15">
      <c r="G44" s="2" t="s">
        <v>26</v>
      </c>
      <c r="H44" s="2" t="s">
        <v>25</v>
      </c>
    </row>
    <row r="45" spans="2:15">
      <c r="G45">
        <f>6*SUM(G40:G42)</f>
        <v>2.832471011260379E-2</v>
      </c>
      <c r="H45">
        <f>6*SUM(H40:H42)</f>
        <v>4.1672323650418786E-2</v>
      </c>
      <c r="I45" t="s">
        <v>28</v>
      </c>
    </row>
    <row r="46" spans="2:15">
      <c r="G46">
        <f>1000000*G45</f>
        <v>28324.710112603789</v>
      </c>
      <c r="H46">
        <f>1000000*H45</f>
        <v>41672.323650418788</v>
      </c>
      <c r="I46" t="s">
        <v>29</v>
      </c>
    </row>
    <row r="47" spans="2:15">
      <c r="C47" s="2" t="s">
        <v>27</v>
      </c>
      <c r="G47" s="2">
        <f>N36/(H46-G46)</f>
        <v>2.996790391531518E-5</v>
      </c>
      <c r="I47" s="2" t="s">
        <v>30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oleObject progId="Equation.3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2:Q42"/>
  <sheetViews>
    <sheetView workbookViewId="0"/>
  </sheetViews>
  <sheetFormatPr defaultRowHeight="15"/>
  <cols>
    <col min="1" max="1" width="4" customWidth="1"/>
    <col min="6" max="6" width="3.7109375" customWidth="1"/>
    <col min="7" max="7" width="12" bestFit="1" customWidth="1"/>
  </cols>
  <sheetData>
    <row r="2" spans="2:15">
      <c r="N2" t="s">
        <v>53</v>
      </c>
    </row>
    <row r="3" spans="2:15">
      <c r="B3" t="s">
        <v>39</v>
      </c>
      <c r="G3" t="s">
        <v>40</v>
      </c>
      <c r="I3" t="s">
        <v>41</v>
      </c>
      <c r="L3" t="s">
        <v>50</v>
      </c>
      <c r="N3" t="s">
        <v>54</v>
      </c>
      <c r="O3" t="s">
        <v>55</v>
      </c>
    </row>
    <row r="4" spans="2:15">
      <c r="C4" s="10">
        <v>2</v>
      </c>
      <c r="G4" s="4">
        <f t="array" ref="G4:G6">MMULT(matrix_a_pred,column_f_pred)</f>
        <v>3.8460000000000001</v>
      </c>
      <c r="I4" s="4">
        <f t="array" ref="I4:I6">MMULT(matrix_M_pred,column_k_pred)</f>
        <v>2.3075999999999999</v>
      </c>
      <c r="L4" s="4">
        <f t="array" ref="L4:L6">MMULT(matrix_C,column_p_pred)</f>
        <v>0.4615999999999999</v>
      </c>
      <c r="N4" s="6">
        <f>L4/L$7</f>
        <v>0.1489032258064516</v>
      </c>
      <c r="O4" s="6">
        <f>1*100</f>
        <v>100</v>
      </c>
    </row>
    <row r="5" spans="2:15">
      <c r="C5" s="10">
        <v>1</v>
      </c>
      <c r="F5" s="1"/>
      <c r="G5" s="4">
        <v>2.2850000000000001</v>
      </c>
      <c r="I5" s="4">
        <v>3.2103000000000002</v>
      </c>
      <c r="L5" s="4">
        <v>1.9252999999999998</v>
      </c>
      <c r="N5" s="6">
        <f t="shared" ref="N5:N6" si="0">L5/L$7</f>
        <v>0.62106451612903224</v>
      </c>
      <c r="O5" s="6">
        <f>O4-N4*100</f>
        <v>85.109677419354838</v>
      </c>
    </row>
    <row r="6" spans="2:15">
      <c r="C6" s="10">
        <v>0.1</v>
      </c>
      <c r="G6" s="4">
        <v>0.17810000000000001</v>
      </c>
      <c r="I6" s="4">
        <v>0.79120000000000013</v>
      </c>
      <c r="L6" s="15">
        <v>0.71310000000000007</v>
      </c>
      <c r="N6" s="6">
        <f t="shared" si="0"/>
        <v>0.23003225806451619</v>
      </c>
      <c r="O6" s="6">
        <f>O5-N5*100</f>
        <v>23.003225806451617</v>
      </c>
    </row>
    <row r="7" spans="2:15">
      <c r="B7" t="s">
        <v>6</v>
      </c>
      <c r="C7" s="5">
        <f>SUM(column_f_pred)</f>
        <v>3.1</v>
      </c>
      <c r="D7" t="s">
        <v>7</v>
      </c>
      <c r="F7" t="s">
        <v>6</v>
      </c>
      <c r="G7" s="5">
        <f>SUM(column_k_pred)</f>
        <v>6.3090999999999999</v>
      </c>
      <c r="H7" t="s">
        <v>7</v>
      </c>
      <c r="I7" s="5">
        <f>SUM(column_p_pred)</f>
        <v>6.3090999999999999</v>
      </c>
      <c r="J7" t="s">
        <v>7</v>
      </c>
      <c r="L7" s="5">
        <f>SUM(column_q_pred)</f>
        <v>3.0999999999999996</v>
      </c>
      <c r="M7" t="s">
        <v>7</v>
      </c>
      <c r="O7" s="6">
        <f>O6-N6*100</f>
        <v>0</v>
      </c>
    </row>
    <row r="13" spans="2:15">
      <c r="C13" s="12" t="s">
        <v>38</v>
      </c>
      <c r="N13" t="s">
        <v>51</v>
      </c>
    </row>
    <row r="14" spans="2:15">
      <c r="C14" s="2">
        <f>G42</f>
        <v>2.5236400000000003</v>
      </c>
      <c r="D14" s="2" t="str">
        <f>H42</f>
        <v xml:space="preserve">MWh </v>
      </c>
      <c r="N14">
        <f t="array" ref="N14:N16">MMULT(matrix_I_C,column_p_pred)</f>
        <v>1.8460000000000001</v>
      </c>
    </row>
    <row r="15" spans="2:15">
      <c r="N15">
        <v>1.2850000000000001</v>
      </c>
    </row>
    <row r="16" spans="2:15">
      <c r="N16" s="14">
        <v>7.8100000000000017E-2</v>
      </c>
    </row>
    <row r="17" spans="2:17">
      <c r="N17" s="5">
        <f>SUM(column_p_q)</f>
        <v>3.2091000000000003</v>
      </c>
      <c r="O17" t="s">
        <v>7</v>
      </c>
    </row>
    <row r="19" spans="2:17">
      <c r="B19" s="3" t="s">
        <v>3</v>
      </c>
    </row>
    <row r="20" spans="2:17">
      <c r="B20" t="s">
        <v>0</v>
      </c>
      <c r="K20" t="s">
        <v>33</v>
      </c>
      <c r="M20" s="10">
        <v>2.996790391531518E-5</v>
      </c>
      <c r="N20" s="2" t="s">
        <v>30</v>
      </c>
    </row>
    <row r="21" spans="2:17">
      <c r="C21" t="s">
        <v>42</v>
      </c>
      <c r="G21" t="s">
        <v>43</v>
      </c>
      <c r="K21" s="2" t="s">
        <v>52</v>
      </c>
    </row>
    <row r="22" spans="2:17">
      <c r="C22" s="10">
        <v>1.923</v>
      </c>
      <c r="D22" s="10">
        <v>0</v>
      </c>
      <c r="E22" s="10">
        <v>0</v>
      </c>
      <c r="G22" s="10">
        <v>0.6</v>
      </c>
      <c r="H22" s="10">
        <v>0</v>
      </c>
      <c r="I22" s="10">
        <v>0</v>
      </c>
      <c r="K22" t="s">
        <v>44</v>
      </c>
      <c r="O22" t="s">
        <v>45</v>
      </c>
    </row>
    <row r="23" spans="2:17">
      <c r="C23" s="10">
        <v>0.36099999999999999</v>
      </c>
      <c r="D23" s="10">
        <v>1.5629999999999999</v>
      </c>
      <c r="E23" s="10">
        <v>0</v>
      </c>
      <c r="G23" s="10">
        <v>0.3</v>
      </c>
      <c r="H23" s="10">
        <v>0.9</v>
      </c>
      <c r="I23" s="10">
        <v>0</v>
      </c>
      <c r="K23">
        <f t="array" ref="K23:M25">MINVERSE(matrix_a_pred)</f>
        <v>0.52002080083203328</v>
      </c>
      <c r="L23">
        <v>0</v>
      </c>
      <c r="M23">
        <v>0</v>
      </c>
      <c r="O23">
        <v>1</v>
      </c>
      <c r="P23">
        <v>0</v>
      </c>
      <c r="Q23">
        <v>0</v>
      </c>
    </row>
    <row r="24" spans="2:17">
      <c r="C24" s="10">
        <v>2.5000000000000001E-2</v>
      </c>
      <c r="D24" s="10">
        <v>1.7000000000000001E-2</v>
      </c>
      <c r="E24" s="10">
        <v>1.111</v>
      </c>
      <c r="G24" s="10">
        <v>0.1</v>
      </c>
      <c r="H24" s="10">
        <v>0.1</v>
      </c>
      <c r="I24" s="10">
        <v>1</v>
      </c>
      <c r="K24">
        <v>-0.12010717152934358</v>
      </c>
      <c r="L24">
        <v>0.63979526551503518</v>
      </c>
      <c r="M24">
        <v>0</v>
      </c>
      <c r="O24">
        <v>0</v>
      </c>
      <c r="P24">
        <v>1</v>
      </c>
      <c r="Q24">
        <v>0</v>
      </c>
    </row>
    <row r="25" spans="2:17">
      <c r="K25">
        <v>-9.8638146757893726E-3</v>
      </c>
      <c r="L25">
        <v>-9.7898465470347435E-3</v>
      </c>
      <c r="M25">
        <v>0.90009000900090008</v>
      </c>
      <c r="O25">
        <v>0</v>
      </c>
      <c r="P25">
        <v>0</v>
      </c>
      <c r="Q25">
        <v>1</v>
      </c>
    </row>
    <row r="27" spans="2:17">
      <c r="B27" t="s">
        <v>10</v>
      </c>
      <c r="G27">
        <f>I7-C7</f>
        <v>3.2090999999999998</v>
      </c>
      <c r="H27" t="s">
        <v>7</v>
      </c>
      <c r="K27" t="s">
        <v>47</v>
      </c>
      <c r="O27" t="s">
        <v>46</v>
      </c>
    </row>
    <row r="28" spans="2:17">
      <c r="B28" s="2" t="s">
        <v>11</v>
      </c>
      <c r="G28" s="9">
        <f>G27/C7*100</f>
        <v>103.51935483870966</v>
      </c>
      <c r="H28" s="2" t="s">
        <v>12</v>
      </c>
      <c r="K28">
        <f t="array" ref="K28:M30">matrix_identity-matrix_a_inverse</f>
        <v>0.47997919916796672</v>
      </c>
      <c r="L28">
        <v>0</v>
      </c>
      <c r="M28">
        <v>0</v>
      </c>
      <c r="O28">
        <f t="array" ref="O28:Q30">MINVERSE(matrix_M_pred)</f>
        <v>1.6666666666666667</v>
      </c>
      <c r="P28">
        <v>0</v>
      </c>
      <c r="Q28">
        <v>0</v>
      </c>
    </row>
    <row r="29" spans="2:17">
      <c r="K29">
        <v>0.12010717152934358</v>
      </c>
      <c r="L29">
        <v>0.36020473448496482</v>
      </c>
      <c r="M29">
        <v>0</v>
      </c>
      <c r="O29">
        <v>-0.55555555555555558</v>
      </c>
      <c r="P29">
        <v>1.1111111111111112</v>
      </c>
      <c r="Q29">
        <v>0</v>
      </c>
    </row>
    <row r="30" spans="2:17">
      <c r="B30" s="7" t="s">
        <v>18</v>
      </c>
      <c r="C30" s="7" t="s">
        <v>23</v>
      </c>
      <c r="D30" s="7" t="s">
        <v>21</v>
      </c>
      <c r="E30" s="7" t="s">
        <v>22</v>
      </c>
      <c r="G30" s="7" t="s">
        <v>21</v>
      </c>
      <c r="H30" s="7" t="s">
        <v>22</v>
      </c>
      <c r="K30">
        <v>9.8638146757893726E-3</v>
      </c>
      <c r="L30">
        <v>9.7898465470347435E-3</v>
      </c>
      <c r="M30">
        <v>9.9909990999099918E-2</v>
      </c>
      <c r="O30">
        <v>-0.11111111111111113</v>
      </c>
      <c r="P30">
        <v>-0.11111111111111112</v>
      </c>
      <c r="Q30">
        <v>1</v>
      </c>
    </row>
    <row r="31" spans="2:17">
      <c r="B31" s="7" t="s">
        <v>19</v>
      </c>
      <c r="C31" s="7" t="s">
        <v>24</v>
      </c>
      <c r="D31" s="7" t="s">
        <v>15</v>
      </c>
      <c r="E31" s="7" t="s">
        <v>15</v>
      </c>
      <c r="G31" s="7" t="s">
        <v>31</v>
      </c>
      <c r="H31" s="7" t="s">
        <v>31</v>
      </c>
    </row>
    <row r="32" spans="2:17">
      <c r="B32" s="7"/>
      <c r="C32" s="7"/>
      <c r="D32" s="7" t="s">
        <v>16</v>
      </c>
      <c r="E32" s="7" t="s">
        <v>16</v>
      </c>
      <c r="K32" t="s">
        <v>48</v>
      </c>
      <c r="O32" t="s">
        <v>49</v>
      </c>
    </row>
    <row r="33" spans="2:17">
      <c r="B33" s="7" t="s">
        <v>20</v>
      </c>
      <c r="C33" s="7" t="s">
        <v>20</v>
      </c>
      <c r="D33" s="8" t="s">
        <v>17</v>
      </c>
      <c r="E33" s="8" t="s">
        <v>17</v>
      </c>
      <c r="G33" s="7" t="s">
        <v>32</v>
      </c>
      <c r="H33" s="7" t="s">
        <v>32</v>
      </c>
      <c r="K33">
        <f t="array" ref="K33:M35">MMULT(matrix_step,matrix_M_inverse)</f>
        <v>0.79996533194661124</v>
      </c>
      <c r="L33">
        <v>0</v>
      </c>
      <c r="M33">
        <v>0</v>
      </c>
      <c r="O33" s="13">
        <f t="array" ref="O33:Q35">matrix_identity-matrix_I_C</f>
        <v>0.20003466805338876</v>
      </c>
      <c r="P33" s="13">
        <v>0</v>
      </c>
      <c r="Q33" s="13">
        <v>0</v>
      </c>
    </row>
    <row r="34" spans="2:17">
      <c r="B34" s="10">
        <v>500</v>
      </c>
      <c r="C34">
        <f>(B34+B35)/2</f>
        <v>350</v>
      </c>
      <c r="D34">
        <f>G4/G$7</f>
        <v>0.60959566340682503</v>
      </c>
      <c r="E34">
        <f>I4/I$7</f>
        <v>0.36575739804409502</v>
      </c>
      <c r="G34">
        <f>D34/C34</f>
        <v>1.7417018954480716E-3</v>
      </c>
      <c r="H34">
        <f>E34/C34</f>
        <v>1.0450211372688429E-3</v>
      </c>
      <c r="K34">
        <v>6.4877835036614151E-5</v>
      </c>
      <c r="L34">
        <v>0.40022748276107206</v>
      </c>
      <c r="M34">
        <v>0</v>
      </c>
      <c r="O34" s="13">
        <v>-6.4877835036614151E-5</v>
      </c>
      <c r="P34" s="13">
        <v>0.59977251723892788</v>
      </c>
      <c r="Q34" s="13">
        <v>0</v>
      </c>
    </row>
    <row r="35" spans="2:17">
      <c r="B35" s="10">
        <v>200</v>
      </c>
      <c r="C35">
        <f t="shared" ref="C35:C36" si="1">(B35+B36)/2</f>
        <v>150</v>
      </c>
      <c r="D35">
        <f>G5/G$7</f>
        <v>0.36217527064082045</v>
      </c>
      <c r="E35">
        <f>I5/I$7</f>
        <v>0.50883644259878591</v>
      </c>
      <c r="G35">
        <f t="shared" ref="G35:G36" si="2">D35/C35</f>
        <v>2.4145018042721362E-3</v>
      </c>
      <c r="H35">
        <f t="shared" ref="H35:H36" si="3">E35/C35</f>
        <v>3.3922429506585729E-3</v>
      </c>
      <c r="K35">
        <v>-1.0022262193700761E-4</v>
      </c>
      <c r="L35">
        <v>-2.2350283652805385E-4</v>
      </c>
      <c r="M35">
        <v>9.9909990999099918E-2</v>
      </c>
      <c r="O35" s="13">
        <v>1.0022262193700761E-4</v>
      </c>
      <c r="P35" s="13">
        <v>2.2350283652805385E-4</v>
      </c>
      <c r="Q35" s="13">
        <v>0.90009000900090008</v>
      </c>
    </row>
    <row r="36" spans="2:17">
      <c r="B36" s="10">
        <v>100</v>
      </c>
      <c r="C36">
        <f t="shared" si="1"/>
        <v>50</v>
      </c>
      <c r="D36">
        <f>G6/G$7</f>
        <v>2.8229065952354537E-2</v>
      </c>
      <c r="E36">
        <f>I6/I$7</f>
        <v>0.1254061593571191</v>
      </c>
      <c r="G36">
        <f t="shared" si="2"/>
        <v>5.645813190470907E-4</v>
      </c>
      <c r="H36">
        <f t="shared" si="3"/>
        <v>2.508123187142382E-3</v>
      </c>
    </row>
    <row r="37" spans="2:17">
      <c r="B37" s="10">
        <v>0</v>
      </c>
    </row>
    <row r="38" spans="2:17">
      <c r="G38" s="2" t="s">
        <v>26</v>
      </c>
      <c r="H38" s="2" t="s">
        <v>25</v>
      </c>
    </row>
    <row r="39" spans="2:17">
      <c r="G39">
        <f>6*SUM(G34:G36)</f>
        <v>2.832471011260379E-2</v>
      </c>
      <c r="H39">
        <f>6*SUM(H34:H36)</f>
        <v>4.1672323650418786E-2</v>
      </c>
      <c r="I39" t="s">
        <v>28</v>
      </c>
    </row>
    <row r="40" spans="2:17">
      <c r="G40">
        <f>1000000*G39</f>
        <v>28324.710112603789</v>
      </c>
      <c r="H40">
        <f>1000000*H39</f>
        <v>41672.323650418788</v>
      </c>
      <c r="I40" t="s">
        <v>29</v>
      </c>
    </row>
    <row r="41" spans="2:17">
      <c r="C41" s="2" t="s">
        <v>34</v>
      </c>
      <c r="E41" s="2" t="s">
        <v>36</v>
      </c>
      <c r="G41" s="2">
        <f>M20*(H40-G40)</f>
        <v>0.4</v>
      </c>
      <c r="H41" t="s">
        <v>14</v>
      </c>
    </row>
    <row r="42" spans="2:17">
      <c r="E42" s="2" t="s">
        <v>37</v>
      </c>
      <c r="G42" s="11">
        <f>G41*G7</f>
        <v>2.5236400000000003</v>
      </c>
      <c r="H42" s="11" t="s">
        <v>35</v>
      </c>
    </row>
  </sheetData>
  <pageMargins left="0.7" right="0.7" top="0.75" bottom="0.75" header="0.3" footer="0.3"/>
  <drawing r:id="rId1"/>
  <legacyDrawing r:id="rId2"/>
  <oleObjects>
    <oleObject progId="Equation.3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Analysis</vt:lpstr>
      <vt:lpstr>Prediction</vt:lpstr>
      <vt:lpstr>column_f</vt:lpstr>
      <vt:lpstr>column_f_pred</vt:lpstr>
      <vt:lpstr>column_k</vt:lpstr>
      <vt:lpstr>column_k_pred</vt:lpstr>
      <vt:lpstr>column_p</vt:lpstr>
      <vt:lpstr>column_p_pred</vt:lpstr>
      <vt:lpstr>column_p_q</vt:lpstr>
      <vt:lpstr>column_q_pred</vt:lpstr>
      <vt:lpstr>matrix_a</vt:lpstr>
      <vt:lpstr>matrix_a_inverse</vt:lpstr>
      <vt:lpstr>matrix_a_pred</vt:lpstr>
      <vt:lpstr>matrix_C</vt:lpstr>
      <vt:lpstr>matrix_I_C</vt:lpstr>
      <vt:lpstr>matrix_identity</vt:lpstr>
      <vt:lpstr>matrix_M</vt:lpstr>
      <vt:lpstr>matrix_M_inverse</vt:lpstr>
      <vt:lpstr>matrix_M_pred</vt:lpstr>
      <vt:lpstr>matrix_mm</vt:lpstr>
      <vt:lpstr>matrix_step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24MTC</dc:creator>
  <cp:lastModifiedBy>r.g.holdich@gmail.com</cp:lastModifiedBy>
  <dcterms:created xsi:type="dcterms:W3CDTF">2015-11-08T14:30:57Z</dcterms:created>
  <dcterms:modified xsi:type="dcterms:W3CDTF">2020-10-22T16:47:09Z</dcterms:modified>
</cp:coreProperties>
</file>